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56" activeTab="0"/>
  </bookViews>
  <sheets>
    <sheet name="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Ivan Petrini</author>
  </authors>
  <commentList>
    <comment ref="D6" authorId="0">
      <text>
        <r>
          <rPr>
            <b/>
            <sz val="9"/>
            <rFont val="Tahoma"/>
            <family val="2"/>
          </rPr>
          <t>Ivan Petrini:</t>
        </r>
        <r>
          <rPr>
            <sz val="9"/>
            <rFont val="Tahoma"/>
            <family val="2"/>
          </rPr>
          <t xml:space="preserve">
Modificar</t>
        </r>
      </text>
    </comment>
    <comment ref="D7" authorId="0">
      <text>
        <r>
          <rPr>
            <b/>
            <sz val="9"/>
            <rFont val="Tahoma"/>
            <family val="2"/>
          </rPr>
          <t>Ivan Petrini:</t>
        </r>
        <r>
          <rPr>
            <sz val="9"/>
            <rFont val="Tahoma"/>
            <family val="2"/>
          </rPr>
          <t xml:space="preserve">
Modificar</t>
        </r>
      </text>
    </comment>
  </commentList>
</comments>
</file>

<file path=xl/sharedStrings.xml><?xml version="1.0" encoding="utf-8"?>
<sst xmlns="http://schemas.openxmlformats.org/spreadsheetml/2006/main" count="32" uniqueCount="27">
  <si>
    <t>Cuotas</t>
  </si>
  <si>
    <t>TIR</t>
  </si>
  <si>
    <t>Base</t>
  </si>
  <si>
    <t>Duration (años)</t>
  </si>
  <si>
    <t>Duration (meses)</t>
  </si>
  <si>
    <t>Cuota</t>
  </si>
  <si>
    <t xml:space="preserve">Capital </t>
  </si>
  <si>
    <t xml:space="preserve">Intereses </t>
  </si>
  <si>
    <t>Total</t>
  </si>
  <si>
    <t>Saldo de Capital</t>
  </si>
  <si>
    <t>% Amortizado</t>
  </si>
  <si>
    <t>VP</t>
  </si>
  <si>
    <t>(n*VP)/365</t>
  </si>
  <si>
    <t>Mduration (meses)</t>
  </si>
  <si>
    <t>TIR y DURATION</t>
  </si>
  <si>
    <t>Fecha de Emision</t>
  </si>
  <si>
    <t>Fecha Dev.</t>
  </si>
  <si>
    <t xml:space="preserve">Precio </t>
  </si>
  <si>
    <t>ON GARANTIZADA MOLINO SYTARI</t>
  </si>
  <si>
    <t>Trimestral</t>
  </si>
  <si>
    <t>Ejemplo:</t>
  </si>
  <si>
    <t>TNA</t>
  </si>
  <si>
    <t>TN TRIM</t>
  </si>
  <si>
    <t>Dias transcurridos</t>
  </si>
  <si>
    <t>Fecha</t>
  </si>
  <si>
    <t>Flujo de Fondo</t>
  </si>
  <si>
    <t>Amortización</t>
  </si>
</sst>
</file>

<file path=xl/styles.xml><?xml version="1.0" encoding="utf-8"?>
<styleSheet xmlns="http://schemas.openxmlformats.org/spreadsheetml/2006/main">
  <numFmts count="6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%"/>
    <numFmt numFmtId="173" formatCode="0.0%"/>
    <numFmt numFmtId="174" formatCode="#,##0.0000"/>
    <numFmt numFmtId="175" formatCode="0.000%"/>
    <numFmt numFmtId="176" formatCode="#,##0.0"/>
    <numFmt numFmtId="177" formatCode="mmm\-yyyy"/>
    <numFmt numFmtId="178" formatCode="0.00000%"/>
    <numFmt numFmtId="179" formatCode="0.000000%"/>
    <numFmt numFmtId="180" formatCode="_ * #,##0.000_ ;_ * \-#,##0.000_ ;_ * &quot;-&quot;??_ ;_ @_ "/>
    <numFmt numFmtId="181" formatCode="_ * #,##0.0000_ ;_ * \-#,##0.0000_ ;_ * &quot;-&quot;??_ ;_ @_ "/>
    <numFmt numFmtId="182" formatCode="_ * #,##0.00000_ ;_ * \-#,##0.00000_ ;_ * &quot;-&quot;??_ ;_ @_ "/>
    <numFmt numFmtId="183" formatCode="_ * #,##0.000000_ ;_ * \-#,##0.000000_ ;_ * &quot;-&quot;??_ ;_ @_ "/>
    <numFmt numFmtId="184" formatCode="_ &quot;$&quot;\ * #,##0.000_ ;_ &quot;$&quot;\ * \-#,##0.000_ ;_ &quot;$&quot;\ * &quot;-&quot;??_ ;_ @_ "/>
    <numFmt numFmtId="185" formatCode="0.0000000%"/>
    <numFmt numFmtId="186" formatCode="0.0"/>
    <numFmt numFmtId="187" formatCode="0.0000000000000000%"/>
    <numFmt numFmtId="188" formatCode="0.000000000000000%"/>
    <numFmt numFmtId="189" formatCode="0.00000000000000%"/>
    <numFmt numFmtId="190" formatCode="0.0000000000000%"/>
    <numFmt numFmtId="191" formatCode="0.000000000000%"/>
    <numFmt numFmtId="192" formatCode="0.00000000000%"/>
    <numFmt numFmtId="193" formatCode="0.0000000000%"/>
    <numFmt numFmtId="194" formatCode="0.000000000%"/>
    <numFmt numFmtId="195" formatCode="0.00000000%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0.00000000"/>
    <numFmt numFmtId="202" formatCode="_ &quot;$&quot;\ * #,##0.0000_ ;_ &quot;$&quot;\ * \-#,##0.0000_ ;_ &quot;$&quot;\ * &quot;-&quot;??_ ;_ @_ "/>
    <numFmt numFmtId="203" formatCode="[$-2C0A]ddd\ d&quot;-&quot;mmm&quot;-&quot;yy;@"/>
    <numFmt numFmtId="204" formatCode="_ * #,##0.0000_ ;_ * \-#,##0.0000_ ;_ * &quot;-&quot;????_ ;_ @_ "/>
    <numFmt numFmtId="205" formatCode="_ * #,##0.0_ ;_ * \-#,##0.0_ ;_ * &quot;-&quot;??_ ;_ @_ "/>
    <numFmt numFmtId="206" formatCode="_ * #,##0_ ;_ * \-#,##0_ ;_ * &quot;-&quot;??_ ;_ @_ "/>
    <numFmt numFmtId="207" formatCode="#,##0.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000000"/>
    <numFmt numFmtId="213" formatCode="0.00_)"/>
    <numFmt numFmtId="214" formatCode="[$-F800]dddd\,\ mmmm\ dd\,\ yyyy"/>
    <numFmt numFmtId="215" formatCode="[$-2C0A]dddd\,\ d\ &quot;de&quot;\ mmmm\ &quot;de&quot;\ yyyy"/>
  </numFmts>
  <fonts count="6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9"/>
      <color rgb="FFC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vertical="top"/>
    </xf>
    <xf numFmtId="15" fontId="1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0" fontId="2" fillId="0" borderId="14" xfId="57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4" fontId="1" fillId="33" borderId="11" xfId="0" applyNumberFormat="1" applyFont="1" applyFill="1" applyBorder="1" applyAlignment="1">
      <alignment vertical="top"/>
    </xf>
    <xf numFmtId="4" fontId="1" fillId="33" borderId="12" xfId="0" applyNumberFormat="1" applyFont="1" applyFill="1" applyBorder="1" applyAlignment="1">
      <alignment vertical="top"/>
    </xf>
    <xf numFmtId="0" fontId="1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10" fontId="1" fillId="33" borderId="20" xfId="57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vertical="top"/>
    </xf>
    <xf numFmtId="179" fontId="2" fillId="0" borderId="0" xfId="0" applyNumberFormat="1" applyFont="1" applyBorder="1" applyAlignment="1">
      <alignment vertical="top"/>
    </xf>
    <xf numFmtId="203" fontId="2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3" fontId="56" fillId="0" borderId="0" xfId="57" applyNumberFormat="1" applyFont="1" applyAlignment="1">
      <alignment/>
    </xf>
    <xf numFmtId="0" fontId="7" fillId="0" borderId="0" xfId="0" applyFont="1" applyAlignment="1">
      <alignment/>
    </xf>
    <xf numFmtId="14" fontId="57" fillId="0" borderId="0" xfId="0" applyNumberFormat="1" applyFont="1" applyAlignment="1">
      <alignment horizontal="left" vertical="center" wrapText="1"/>
    </xf>
    <xf numFmtId="197" fontId="57" fillId="0" borderId="0" xfId="0" applyNumberFormat="1" applyFont="1" applyAlignment="1">
      <alignment horizontal="right" vertical="center" wrapText="1"/>
    </xf>
    <xf numFmtId="4" fontId="1" fillId="33" borderId="2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9" fontId="2" fillId="0" borderId="0" xfId="57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171" fontId="1" fillId="33" borderId="11" xfId="49" applyFont="1" applyFill="1" applyBorder="1" applyAlignment="1">
      <alignment vertical="top"/>
    </xf>
    <xf numFmtId="0" fontId="2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0" fontId="5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/>
    </xf>
    <xf numFmtId="10" fontId="34" fillId="0" borderId="22" xfId="57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top" wrapText="1"/>
    </xf>
    <xf numFmtId="0" fontId="60" fillId="34" borderId="10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 wrapText="1"/>
    </xf>
    <xf numFmtId="10" fontId="60" fillId="34" borderId="12" xfId="57" applyNumberFormat="1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Continuous" vertical="center"/>
    </xf>
    <xf numFmtId="0" fontId="60" fillId="35" borderId="19" xfId="0" applyFont="1" applyFill="1" applyBorder="1" applyAlignment="1">
      <alignment horizontal="centerContinuous" vertical="center"/>
    </xf>
    <xf numFmtId="0" fontId="60" fillId="35" borderId="20" xfId="0" applyFont="1" applyFill="1" applyBorder="1" applyAlignment="1">
      <alignment horizontal="centerContinuous" vertical="center"/>
    </xf>
    <xf numFmtId="0" fontId="60" fillId="35" borderId="18" xfId="0" applyFont="1" applyFill="1" applyBorder="1" applyAlignment="1">
      <alignment horizontal="center" vertical="top"/>
    </xf>
    <xf numFmtId="0" fontId="60" fillId="35" borderId="24" xfId="0" applyFont="1" applyFill="1" applyBorder="1" applyAlignment="1">
      <alignment horizontal="center" vertical="top"/>
    </xf>
    <xf numFmtId="4" fontId="60" fillId="35" borderId="11" xfId="0" applyNumberFormat="1" applyFont="1" applyFill="1" applyBorder="1" applyAlignment="1">
      <alignment vertical="top"/>
    </xf>
    <xf numFmtId="10" fontId="60" fillId="35" borderId="12" xfId="57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97" fontId="0" fillId="0" borderId="0" xfId="55" applyNumberFormat="1" applyFont="1" applyAlignment="1">
      <alignment horizontal="right"/>
      <protection/>
    </xf>
    <xf numFmtId="202" fontId="2" fillId="0" borderId="0" xfId="51" applyNumberFormat="1" applyFont="1" applyBorder="1" applyAlignment="1">
      <alignment/>
    </xf>
    <xf numFmtId="172" fontId="2" fillId="0" borderId="0" xfId="57" applyNumberFormat="1" applyFont="1" applyBorder="1" applyAlignment="1">
      <alignment/>
    </xf>
    <xf numFmtId="179" fontId="2" fillId="0" borderId="0" xfId="57" applyNumberFormat="1" applyFont="1" applyBorder="1" applyAlignment="1">
      <alignment/>
    </xf>
    <xf numFmtId="171" fontId="2" fillId="0" borderId="0" xfId="49" applyFont="1" applyAlignment="1">
      <alignment horizontal="left"/>
    </xf>
    <xf numFmtId="197" fontId="0" fillId="0" borderId="0" xfId="0" applyNumberFormat="1" applyFont="1" applyAlignment="1">
      <alignment/>
    </xf>
    <xf numFmtId="178" fontId="0" fillId="0" borderId="0" xfId="57" applyNumberFormat="1" applyFont="1" applyAlignment="1">
      <alignment/>
    </xf>
    <xf numFmtId="10" fontId="2" fillId="0" borderId="0" xfId="0" applyNumberFormat="1" applyFont="1" applyBorder="1" applyAlignment="1">
      <alignment horizontal="center"/>
    </xf>
    <xf numFmtId="1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 horizontal="left" indent="7"/>
    </xf>
    <xf numFmtId="203" fontId="0" fillId="0" borderId="0" xfId="0" applyNumberFormat="1" applyFont="1" applyAlignment="1">
      <alignment/>
    </xf>
    <xf numFmtId="10" fontId="0" fillId="0" borderId="0" xfId="57" applyNumberFormat="1" applyFont="1" applyAlignment="1">
      <alignment/>
    </xf>
    <xf numFmtId="15" fontId="0" fillId="0" borderId="0" xfId="0" applyNumberFormat="1" applyFont="1" applyAlignment="1">
      <alignment/>
    </xf>
    <xf numFmtId="206" fontId="0" fillId="0" borderId="0" xfId="49" applyNumberFormat="1" applyFont="1" applyAlignment="1">
      <alignment/>
    </xf>
    <xf numFmtId="0" fontId="0" fillId="0" borderId="0" xfId="0" applyFont="1" applyAlignment="1">
      <alignment vertical="top" wrapText="1"/>
    </xf>
    <xf numFmtId="171" fontId="0" fillId="0" borderId="0" xfId="49" applyFont="1" applyAlignment="1">
      <alignment/>
    </xf>
    <xf numFmtId="175" fontId="0" fillId="0" borderId="0" xfId="57" applyNumberFormat="1" applyFont="1" applyAlignment="1">
      <alignment/>
    </xf>
    <xf numFmtId="0" fontId="34" fillId="0" borderId="25" xfId="0" applyFont="1" applyBorder="1" applyAlignment="1">
      <alignment horizontal="center" vertical="center"/>
    </xf>
    <xf numFmtId="15" fontId="34" fillId="0" borderId="26" xfId="0" applyNumberFormat="1" applyFont="1" applyFill="1" applyBorder="1" applyAlignment="1">
      <alignment horizontal="center" vertical="center"/>
    </xf>
    <xf numFmtId="3" fontId="61" fillId="36" borderId="22" xfId="0" applyNumberFormat="1" applyFont="1" applyFill="1" applyBorder="1" applyAlignment="1" applyProtection="1">
      <alignment horizontal="center" vertical="center"/>
      <protection locked="0"/>
    </xf>
    <xf numFmtId="10" fontId="61" fillId="36" borderId="26" xfId="57" applyNumberFormat="1" applyFont="1" applyFill="1" applyBorder="1" applyAlignment="1" applyProtection="1">
      <alignment horizontal="center" vertical="center"/>
      <protection locked="0"/>
    </xf>
    <xf numFmtId="0" fontId="61" fillId="36" borderId="27" xfId="0" applyFont="1" applyFill="1" applyBorder="1" applyAlignment="1">
      <alignment vertical="top"/>
    </xf>
    <xf numFmtId="0" fontId="61" fillId="36" borderId="28" xfId="0" applyFont="1" applyFill="1" applyBorder="1" applyAlignment="1">
      <alignment vertical="top"/>
    </xf>
    <xf numFmtId="0" fontId="61" fillId="36" borderId="29" xfId="0" applyFont="1" applyFill="1" applyBorder="1" applyAlignment="1">
      <alignment vertical="top"/>
    </xf>
    <xf numFmtId="0" fontId="61" fillId="36" borderId="30" xfId="0" applyFont="1" applyFill="1" applyBorder="1" applyAlignment="1">
      <alignment vertical="top"/>
    </xf>
    <xf numFmtId="0" fontId="34" fillId="0" borderId="27" xfId="0" applyFont="1" applyFill="1" applyBorder="1" applyAlignment="1">
      <alignment vertical="top"/>
    </xf>
    <xf numFmtId="0" fontId="34" fillId="0" borderId="28" xfId="0" applyFont="1" applyFill="1" applyBorder="1" applyAlignment="1">
      <alignment vertical="top"/>
    </xf>
    <xf numFmtId="0" fontId="34" fillId="0" borderId="23" xfId="0" applyFont="1" applyBorder="1" applyAlignment="1">
      <alignment vertical="top"/>
    </xf>
    <xf numFmtId="0" fontId="34" fillId="0" borderId="0" xfId="0" applyFont="1" applyBorder="1" applyAlignment="1">
      <alignment vertical="top"/>
    </xf>
    <xf numFmtId="0" fontId="34" fillId="0" borderId="29" xfId="0" applyFont="1" applyFill="1" applyBorder="1" applyAlignment="1">
      <alignment vertical="top"/>
    </xf>
    <xf numFmtId="0" fontId="34" fillId="0" borderId="30" xfId="0" applyFont="1" applyFill="1" applyBorder="1" applyAlignment="1">
      <alignment vertical="top"/>
    </xf>
    <xf numFmtId="0" fontId="62" fillId="36" borderId="27" xfId="0" applyFont="1" applyFill="1" applyBorder="1" applyAlignment="1">
      <alignment vertical="top"/>
    </xf>
    <xf numFmtId="0" fontId="63" fillId="36" borderId="28" xfId="0" applyFont="1" applyFill="1" applyBorder="1" applyAlignment="1">
      <alignment vertical="top"/>
    </xf>
    <xf numFmtId="10" fontId="62" fillId="36" borderId="22" xfId="57" applyNumberFormat="1" applyFont="1" applyFill="1" applyBorder="1" applyAlignment="1">
      <alignment horizontal="center"/>
    </xf>
    <xf numFmtId="0" fontId="64" fillId="36" borderId="23" xfId="0" applyFont="1" applyFill="1" applyBorder="1" applyAlignment="1">
      <alignment vertical="top"/>
    </xf>
    <xf numFmtId="0" fontId="65" fillId="36" borderId="0" xfId="0" applyFont="1" applyFill="1" applyBorder="1" applyAlignment="1">
      <alignment vertical="top"/>
    </xf>
    <xf numFmtId="2" fontId="64" fillId="36" borderId="25" xfId="0" applyNumberFormat="1" applyFont="1" applyFill="1" applyBorder="1" applyAlignment="1">
      <alignment horizontal="center"/>
    </xf>
    <xf numFmtId="0" fontId="62" fillId="36" borderId="29" xfId="0" applyFont="1" applyFill="1" applyBorder="1" applyAlignment="1">
      <alignment vertical="top"/>
    </xf>
    <xf numFmtId="0" fontId="63" fillId="36" borderId="30" xfId="0" applyFont="1" applyFill="1" applyBorder="1" applyAlignment="1">
      <alignment vertical="top"/>
    </xf>
    <xf numFmtId="2" fontId="62" fillId="36" borderId="26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1</xdr:row>
      <xdr:rowOff>161925</xdr:rowOff>
    </xdr:from>
    <xdr:to>
      <xdr:col>4</xdr:col>
      <xdr:colOff>695325</xdr:colOff>
      <xdr:row>3</xdr:row>
      <xdr:rowOff>247650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361950"/>
          <a:ext cx="1143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0</xdr:row>
      <xdr:rowOff>123825</xdr:rowOff>
    </xdr:from>
    <xdr:to>
      <xdr:col>2</xdr:col>
      <xdr:colOff>1295400</xdr:colOff>
      <xdr:row>3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825"/>
          <a:ext cx="1609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0</xdr:row>
      <xdr:rowOff>161925</xdr:rowOff>
    </xdr:from>
    <xdr:to>
      <xdr:col>7</xdr:col>
      <xdr:colOff>742950</xdr:colOff>
      <xdr:row>2</xdr:row>
      <xdr:rowOff>28575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00525" y="161925"/>
          <a:ext cx="16097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2"/>
  <sheetViews>
    <sheetView showGridLines="0" showRowColHeaders="0" tabSelected="1" zoomScalePageLayoutView="0" workbookViewId="0" topLeftCell="A1">
      <selection activeCell="E15" sqref="E15"/>
    </sheetView>
  </sheetViews>
  <sheetFormatPr defaultColWidth="0" defaultRowHeight="12.75" zeroHeight="1"/>
  <cols>
    <col min="1" max="1" width="1.7109375" style="39" customWidth="1"/>
    <col min="2" max="2" width="8.140625" style="39" customWidth="1"/>
    <col min="3" max="3" width="21.7109375" style="39" customWidth="1"/>
    <col min="4" max="4" width="13.00390625" style="39" customWidth="1"/>
    <col min="5" max="5" width="11.421875" style="39" customWidth="1"/>
    <col min="6" max="6" width="9.28125" style="39" customWidth="1"/>
    <col min="7" max="7" width="10.7109375" style="39" customWidth="1"/>
    <col min="8" max="8" width="11.28125" style="39" bestFit="1" customWidth="1"/>
    <col min="9" max="9" width="4.421875" style="39" customWidth="1"/>
    <col min="10" max="10" width="15.421875" style="39" hidden="1" customWidth="1"/>
    <col min="11" max="11" width="13.00390625" style="39" hidden="1" customWidth="1"/>
    <col min="12" max="12" width="13.421875" style="39" hidden="1" customWidth="1"/>
    <col min="13" max="13" width="12.8515625" style="39" hidden="1" customWidth="1"/>
    <col min="14" max="14" width="7.7109375" style="39" hidden="1" customWidth="1"/>
    <col min="15" max="16384" width="11.421875" style="39" hidden="1" customWidth="1"/>
  </cols>
  <sheetData>
    <row r="1" spans="8:15" ht="15.75">
      <c r="H1" s="35"/>
      <c r="I1" s="35"/>
      <c r="J1" s="54"/>
      <c r="K1" s="28"/>
      <c r="L1" s="30"/>
      <c r="M1" s="30"/>
      <c r="N1" s="30"/>
      <c r="O1" s="30"/>
    </row>
    <row r="2" spans="6:12" ht="12.75">
      <c r="F2" s="35"/>
      <c r="G2" s="35"/>
      <c r="H2" s="35"/>
      <c r="I2" s="35"/>
      <c r="J2" s="28"/>
      <c r="K2" s="55"/>
      <c r="L2" s="35"/>
    </row>
    <row r="3" spans="8:16" ht="12.75">
      <c r="H3" s="35"/>
      <c r="I3" s="35"/>
      <c r="J3" s="28"/>
      <c r="K3" s="28"/>
      <c r="L3" s="35"/>
      <c r="P3" s="56"/>
    </row>
    <row r="4" spans="9:16" ht="21.75" customHeight="1">
      <c r="I4" s="35"/>
      <c r="J4" s="28"/>
      <c r="K4" s="57"/>
      <c r="L4" s="58"/>
      <c r="P4" s="56"/>
    </row>
    <row r="5" spans="9:16" ht="13.5" thickBot="1">
      <c r="I5" s="35"/>
      <c r="J5" s="22"/>
      <c r="L5" s="59"/>
      <c r="P5" s="56"/>
    </row>
    <row r="6" spans="2:13" ht="12.75">
      <c r="B6" s="81" t="s">
        <v>18</v>
      </c>
      <c r="C6" s="82"/>
      <c r="D6" s="79">
        <v>10000</v>
      </c>
      <c r="E6" s="42"/>
      <c r="F6" s="91" t="s">
        <v>1</v>
      </c>
      <c r="G6" s="92"/>
      <c r="H6" s="93">
        <f>M27</f>
        <v>0.08242995440959931</v>
      </c>
      <c r="I6" s="60"/>
      <c r="M6" s="56"/>
    </row>
    <row r="7" spans="2:18" ht="13.5" customHeight="1" thickBot="1">
      <c r="B7" s="83" t="s">
        <v>21</v>
      </c>
      <c r="C7" s="84"/>
      <c r="D7" s="80">
        <v>0.08</v>
      </c>
      <c r="E7" s="42"/>
      <c r="F7" s="94" t="s">
        <v>3</v>
      </c>
      <c r="G7" s="95"/>
      <c r="H7" s="96">
        <f>+M26</f>
        <v>1.0775047975546208</v>
      </c>
      <c r="I7" s="35"/>
      <c r="L7" s="35"/>
      <c r="M7" s="24"/>
      <c r="Q7" s="25"/>
      <c r="R7" s="26"/>
    </row>
    <row r="8" spans="2:18" ht="12.75">
      <c r="B8" s="85" t="s">
        <v>17</v>
      </c>
      <c r="C8" s="86"/>
      <c r="D8" s="41">
        <v>1</v>
      </c>
      <c r="E8" s="1"/>
      <c r="F8" s="94" t="s">
        <v>4</v>
      </c>
      <c r="G8" s="95"/>
      <c r="H8" s="96">
        <f>+H7*12</f>
        <v>12.93005757065545</v>
      </c>
      <c r="I8" s="35"/>
      <c r="J8" s="36" t="s">
        <v>20</v>
      </c>
      <c r="K8" s="36" t="s">
        <v>22</v>
      </c>
      <c r="P8" s="61"/>
      <c r="Q8" s="25"/>
      <c r="R8" s="26"/>
    </row>
    <row r="9" spans="2:18" ht="13.5" thickBot="1">
      <c r="B9" s="87" t="s">
        <v>0</v>
      </c>
      <c r="C9" s="88"/>
      <c r="D9" s="77">
        <v>8</v>
      </c>
      <c r="E9" s="17"/>
      <c r="F9" s="97" t="s">
        <v>13</v>
      </c>
      <c r="G9" s="98"/>
      <c r="H9" s="99">
        <f>H8/(1+H6)</f>
        <v>11.945398885148206</v>
      </c>
      <c r="I9" s="21"/>
      <c r="J9" s="37"/>
      <c r="K9" s="38">
        <f>+D7/365*91.25</f>
        <v>0.02</v>
      </c>
      <c r="M9" s="62"/>
      <c r="Q9" s="25"/>
      <c r="R9" s="26"/>
    </row>
    <row r="10" spans="2:18" ht="12.75">
      <c r="B10" s="87" t="s">
        <v>26</v>
      </c>
      <c r="C10" s="88"/>
      <c r="D10" s="77" t="s">
        <v>19</v>
      </c>
      <c r="E10" s="1"/>
      <c r="I10" s="63"/>
      <c r="L10" s="64"/>
      <c r="M10" s="65"/>
      <c r="N10" s="66"/>
      <c r="Q10" s="25"/>
      <c r="R10" s="26"/>
    </row>
    <row r="11" spans="2:18" ht="12.75">
      <c r="B11" s="87" t="s">
        <v>2</v>
      </c>
      <c r="C11" s="88"/>
      <c r="D11" s="77">
        <v>365</v>
      </c>
      <c r="E11" s="2"/>
      <c r="L11" s="64"/>
      <c r="M11" s="65"/>
      <c r="N11" s="66"/>
      <c r="Q11" s="25"/>
      <c r="R11" s="26"/>
    </row>
    <row r="12" spans="2:18" ht="13.5" thickBot="1">
      <c r="B12" s="89" t="s">
        <v>15</v>
      </c>
      <c r="C12" s="90"/>
      <c r="D12" s="78">
        <f>+C16</f>
        <v>43455</v>
      </c>
      <c r="E12" s="2"/>
      <c r="J12" s="54"/>
      <c r="K12" s="67"/>
      <c r="L12" s="65"/>
      <c r="M12" s="68"/>
      <c r="Q12" s="25"/>
      <c r="R12" s="26"/>
    </row>
    <row r="13" spans="5:13" ht="12.75">
      <c r="E13" s="29"/>
      <c r="J13" s="54"/>
      <c r="K13" s="69"/>
      <c r="L13" s="65"/>
      <c r="M13" s="65"/>
    </row>
    <row r="14" spans="2:13" ht="12.75">
      <c r="B14" s="47" t="s">
        <v>18</v>
      </c>
      <c r="C14" s="48"/>
      <c r="D14" s="48"/>
      <c r="E14" s="48"/>
      <c r="F14" s="48"/>
      <c r="G14" s="48"/>
      <c r="H14" s="49"/>
      <c r="J14" s="31" t="s">
        <v>14</v>
      </c>
      <c r="K14" s="32"/>
      <c r="L14" s="32"/>
      <c r="M14" s="33"/>
    </row>
    <row r="15" spans="2:15" ht="22.5">
      <c r="B15" s="43" t="s">
        <v>5</v>
      </c>
      <c r="C15" s="44" t="s">
        <v>16</v>
      </c>
      <c r="D15" s="45" t="s">
        <v>6</v>
      </c>
      <c r="E15" s="45" t="s">
        <v>7</v>
      </c>
      <c r="F15" s="44" t="s">
        <v>8</v>
      </c>
      <c r="G15" s="45" t="s">
        <v>9</v>
      </c>
      <c r="H15" s="46" t="s">
        <v>10</v>
      </c>
      <c r="J15" s="3" t="s">
        <v>24</v>
      </c>
      <c r="K15" s="3" t="s">
        <v>25</v>
      </c>
      <c r="L15" s="4" t="s">
        <v>11</v>
      </c>
      <c r="M15" s="5" t="s">
        <v>12</v>
      </c>
      <c r="N15" s="39" t="s">
        <v>23</v>
      </c>
      <c r="O15" s="70"/>
    </row>
    <row r="16" spans="2:15" ht="12.75">
      <c r="B16" s="6">
        <v>0</v>
      </c>
      <c r="C16" s="18">
        <v>43455</v>
      </c>
      <c r="D16" s="16">
        <f>+H16*$D$6</f>
        <v>0</v>
      </c>
      <c r="E16" s="16"/>
      <c r="F16" s="16"/>
      <c r="G16" s="16">
        <f>D6-D16</f>
        <v>10000</v>
      </c>
      <c r="H16" s="7">
        <v>0</v>
      </c>
      <c r="I16" s="23">
        <f>F16/$G$16</f>
        <v>0</v>
      </c>
      <c r="J16" s="18">
        <f>+C16</f>
        <v>43455</v>
      </c>
      <c r="K16" s="8">
        <f>-D6</f>
        <v>-10000</v>
      </c>
      <c r="L16" s="8"/>
      <c r="M16" s="9"/>
      <c r="O16" s="61"/>
    </row>
    <row r="17" spans="2:15" ht="12.75">
      <c r="B17" s="10">
        <v>1</v>
      </c>
      <c r="C17" s="18">
        <v>43545</v>
      </c>
      <c r="D17" s="16">
        <f>+$D$6*H17</f>
        <v>1250</v>
      </c>
      <c r="E17" s="16">
        <f>+G16*$D$7*(C17-C16)/$D$11</f>
        <v>197.26027397260273</v>
      </c>
      <c r="F17" s="16">
        <f>+E17+D17</f>
        <v>1447.2602739726028</v>
      </c>
      <c r="G17" s="16">
        <f>+G16-D17</f>
        <v>8750</v>
      </c>
      <c r="H17" s="7">
        <v>0.125</v>
      </c>
      <c r="I17" s="23">
        <f>F17/$G$16</f>
        <v>0.1447260273972603</v>
      </c>
      <c r="J17" s="18">
        <f aca="true" t="shared" si="0" ref="J17:J24">+C17</f>
        <v>43545</v>
      </c>
      <c r="K17" s="8">
        <f>+F17</f>
        <v>1447.2602739726028</v>
      </c>
      <c r="L17" s="8">
        <f>+K17/((1+$H$6)^((J17-$J$16)/$D$11))</f>
        <v>1419.2682855139067</v>
      </c>
      <c r="M17" s="9">
        <f>+L17*((J17-$J$16)/$D$11)</f>
        <v>349.95656355137424</v>
      </c>
      <c r="N17" s="68">
        <f>+C17-C16</f>
        <v>90</v>
      </c>
      <c r="O17" s="61"/>
    </row>
    <row r="18" spans="2:15" ht="12.75">
      <c r="B18" s="10">
        <v>2</v>
      </c>
      <c r="C18" s="18">
        <v>43637</v>
      </c>
      <c r="D18" s="16">
        <f aca="true" t="shared" si="1" ref="D18:D24">+$D$6*H18</f>
        <v>1250</v>
      </c>
      <c r="E18" s="16">
        <f>+G17*$D$7*(C18-C17)/$D$11</f>
        <v>176.43835616438355</v>
      </c>
      <c r="F18" s="16">
        <f>+E18+D18</f>
        <v>1426.4383561643835</v>
      </c>
      <c r="G18" s="16">
        <f aca="true" t="shared" si="2" ref="G18:G23">+G17-D18</f>
        <v>7500</v>
      </c>
      <c r="H18" s="7">
        <v>0.125</v>
      </c>
      <c r="I18" s="23">
        <f>F18/$G$16</f>
        <v>0.14264383561643834</v>
      </c>
      <c r="J18" s="18">
        <f t="shared" si="0"/>
        <v>43637</v>
      </c>
      <c r="K18" s="8">
        <f>+F18</f>
        <v>1426.4383561643835</v>
      </c>
      <c r="L18" s="8">
        <f>+K18/((1+$H$6)^((J18-$J$16)/$D$11))</f>
        <v>1371.1981866009562</v>
      </c>
      <c r="M18" s="9">
        <f>+L18*((J18-$J$16)/$D$11)</f>
        <v>683.7207396202028</v>
      </c>
      <c r="N18" s="68">
        <f aca="true" t="shared" si="3" ref="N18:N24">+C18-C17</f>
        <v>92</v>
      </c>
      <c r="O18" s="61"/>
    </row>
    <row r="19" spans="2:15" ht="12.75">
      <c r="B19" s="10">
        <v>3</v>
      </c>
      <c r="C19" s="18">
        <v>43731</v>
      </c>
      <c r="D19" s="16">
        <f t="shared" si="1"/>
        <v>1250</v>
      </c>
      <c r="E19" s="16">
        <f>+G18*$D$7*(C19-C18)/$D$11</f>
        <v>154.5205479452055</v>
      </c>
      <c r="F19" s="16">
        <f>+D19+E19</f>
        <v>1404.5205479452054</v>
      </c>
      <c r="G19" s="16">
        <f t="shared" si="2"/>
        <v>6250</v>
      </c>
      <c r="H19" s="7">
        <v>0.125</v>
      </c>
      <c r="I19" s="23">
        <f>F24/$G$16</f>
        <v>0.12749315068493153</v>
      </c>
      <c r="J19" s="18">
        <f t="shared" si="0"/>
        <v>43731</v>
      </c>
      <c r="K19" s="8">
        <f>+F19</f>
        <v>1404.5205479452054</v>
      </c>
      <c r="L19" s="8">
        <f>+K19/((1+$H$6)^((J19-$J$16)/$D$11))</f>
        <v>1322.8670284233363</v>
      </c>
      <c r="M19" s="9">
        <f>+L19*((J19-$J$16)/$D$11)</f>
        <v>1000.3049310817556</v>
      </c>
      <c r="N19" s="68">
        <f t="shared" si="3"/>
        <v>94</v>
      </c>
      <c r="O19" s="61"/>
    </row>
    <row r="20" spans="2:15" ht="12.75">
      <c r="B20" s="10">
        <v>4</v>
      </c>
      <c r="C20" s="18">
        <v>43822</v>
      </c>
      <c r="D20" s="16">
        <f t="shared" si="1"/>
        <v>1250</v>
      </c>
      <c r="E20" s="16">
        <f>+G19*$D$7*(C20-C19)/$D$11</f>
        <v>124.65753424657534</v>
      </c>
      <c r="F20" s="16">
        <f>+E20+D20</f>
        <v>1374.6575342465753</v>
      </c>
      <c r="G20" s="16">
        <f t="shared" si="2"/>
        <v>5000</v>
      </c>
      <c r="H20" s="7">
        <v>0.125</v>
      </c>
      <c r="J20" s="18">
        <f t="shared" si="0"/>
        <v>43822</v>
      </c>
      <c r="K20" s="8">
        <f>+F20</f>
        <v>1374.6575342465753</v>
      </c>
      <c r="L20" s="8">
        <f>+K20/((1+$H$6)^((J20-$J$16)/$D$11))</f>
        <v>1269.4225899654057</v>
      </c>
      <c r="M20" s="9">
        <f>+L20*((J20-$J$16)/$D$11)</f>
        <v>1276.3783301843941</v>
      </c>
      <c r="N20" s="68">
        <f t="shared" si="3"/>
        <v>91</v>
      </c>
      <c r="O20" s="71"/>
    </row>
    <row r="21" spans="2:14" ht="12.75">
      <c r="B21" s="10">
        <v>5</v>
      </c>
      <c r="C21" s="18">
        <v>43913</v>
      </c>
      <c r="D21" s="16">
        <f t="shared" si="1"/>
        <v>1250</v>
      </c>
      <c r="E21" s="16">
        <f>+G20*$D$7*(C21-C20)/$D$11</f>
        <v>99.72602739726027</v>
      </c>
      <c r="F21" s="16">
        <f>+D21+E21</f>
        <v>1349.7260273972602</v>
      </c>
      <c r="G21" s="16">
        <f t="shared" si="2"/>
        <v>3750</v>
      </c>
      <c r="H21" s="7">
        <v>0.125</v>
      </c>
      <c r="J21" s="18">
        <f t="shared" si="0"/>
        <v>43913</v>
      </c>
      <c r="K21" s="8">
        <f>+F21</f>
        <v>1349.7260273972602</v>
      </c>
      <c r="L21" s="8">
        <f>+K21/((1+$H$6)^((J21-$J$16)/$D$11))</f>
        <v>1222.0273881919957</v>
      </c>
      <c r="M21" s="9">
        <f>+L21*((J21-$J$16)/$D$11)</f>
        <v>1533.393270662833</v>
      </c>
      <c r="N21" s="68">
        <f t="shared" si="3"/>
        <v>91</v>
      </c>
    </row>
    <row r="22" spans="2:14" ht="12.75">
      <c r="B22" s="10">
        <v>6</v>
      </c>
      <c r="C22" s="18">
        <v>44004</v>
      </c>
      <c r="D22" s="16">
        <f t="shared" si="1"/>
        <v>1250</v>
      </c>
      <c r="E22" s="16">
        <f>+G21*$D$7*(C22-C21)/$D$11</f>
        <v>74.79452054794521</v>
      </c>
      <c r="F22" s="16">
        <f>+E22+D22</f>
        <v>1324.7945205479452</v>
      </c>
      <c r="G22" s="16">
        <f t="shared" si="2"/>
        <v>2500</v>
      </c>
      <c r="H22" s="7">
        <v>0.125</v>
      </c>
      <c r="J22" s="18">
        <f t="shared" si="0"/>
        <v>44004</v>
      </c>
      <c r="K22" s="8">
        <f>+F22</f>
        <v>1324.7945205479452</v>
      </c>
      <c r="L22" s="8">
        <f>+K22/((1+$H$6)^((J22-$J$16)/$D$11))</f>
        <v>1176.000349860416</v>
      </c>
      <c r="M22" s="9">
        <f>+L22*((J22-$J$16)/$D$11)</f>
        <v>1768.8334029407351</v>
      </c>
      <c r="N22" s="68">
        <f t="shared" si="3"/>
        <v>91</v>
      </c>
    </row>
    <row r="23" spans="2:14" ht="12.75">
      <c r="B23" s="10">
        <v>7</v>
      </c>
      <c r="C23" s="18">
        <v>44095</v>
      </c>
      <c r="D23" s="16">
        <f t="shared" si="1"/>
        <v>1250</v>
      </c>
      <c r="E23" s="16">
        <f>+G22*$D$7*(C23-C22)/$D$11</f>
        <v>49.863013698630134</v>
      </c>
      <c r="F23" s="16">
        <f>+D23+E23</f>
        <v>1299.86301369863</v>
      </c>
      <c r="G23" s="16">
        <f t="shared" si="2"/>
        <v>1250</v>
      </c>
      <c r="H23" s="7">
        <v>0.125</v>
      </c>
      <c r="J23" s="18">
        <f t="shared" si="0"/>
        <v>44095</v>
      </c>
      <c r="K23" s="8">
        <f>+F23</f>
        <v>1299.86301369863</v>
      </c>
      <c r="L23" s="8">
        <f>+K23/((1+$H$6)^((J23-$J$16)/$D$11))</f>
        <v>1131.3060906771223</v>
      </c>
      <c r="M23" s="9">
        <f>+L23*((J23-$J$16)/$D$11)</f>
        <v>1983.6599946119402</v>
      </c>
      <c r="N23" s="68">
        <f t="shared" si="3"/>
        <v>91</v>
      </c>
    </row>
    <row r="24" spans="2:14" ht="12.75">
      <c r="B24" s="10">
        <v>8</v>
      </c>
      <c r="C24" s="18">
        <v>44186</v>
      </c>
      <c r="D24" s="16">
        <f t="shared" si="1"/>
        <v>1250</v>
      </c>
      <c r="E24" s="16">
        <f>+G23*$D$7*(C24-C23)/$D$11</f>
        <v>24.931506849315067</v>
      </c>
      <c r="F24" s="16">
        <f>+E24+D24</f>
        <v>1274.9315068493152</v>
      </c>
      <c r="G24" s="16">
        <f>+G18-D24</f>
        <v>6250</v>
      </c>
      <c r="H24" s="7">
        <v>0.125</v>
      </c>
      <c r="I24" s="54"/>
      <c r="J24" s="18">
        <f t="shared" si="0"/>
        <v>44186</v>
      </c>
      <c r="K24" s="8">
        <f>+F24</f>
        <v>1274.9315068493152</v>
      </c>
      <c r="L24" s="8">
        <f>+K24/((1+$H$6)^((J24-$J$16)/$D$11))</f>
        <v>1087.9100870306845</v>
      </c>
      <c r="M24" s="9">
        <f>+L24*((J24-$J$16)/$D$11)</f>
        <v>2178.800749642275</v>
      </c>
      <c r="N24" s="68">
        <f t="shared" si="3"/>
        <v>91</v>
      </c>
    </row>
    <row r="25" spans="2:13" ht="12.75">
      <c r="B25" s="50" t="s">
        <v>8</v>
      </c>
      <c r="C25" s="51"/>
      <c r="D25" s="52">
        <f>SUM(D16:D24)</f>
        <v>10000</v>
      </c>
      <c r="E25" s="52">
        <f>SUM(E16:E24)</f>
        <v>902.1917808219177</v>
      </c>
      <c r="F25" s="52">
        <f>SUM(F16:F24)</f>
        <v>10902.191780821919</v>
      </c>
      <c r="G25" s="52"/>
      <c r="H25" s="53">
        <f>SUM(H16:H24)</f>
        <v>1</v>
      </c>
      <c r="I25" s="19"/>
      <c r="J25" s="40" t="s">
        <v>8</v>
      </c>
      <c r="K25" s="11"/>
      <c r="L25" s="34">
        <f>SUM(L16:L24)</f>
        <v>10000.000006263825</v>
      </c>
      <c r="M25" s="12">
        <f>SUM(M16:M24)</f>
        <v>10775.04798229551</v>
      </c>
    </row>
    <row r="26" spans="3:13" ht="12.75">
      <c r="C26" s="68"/>
      <c r="D26" s="72"/>
      <c r="K26" s="13" t="s">
        <v>3</v>
      </c>
      <c r="L26" s="14"/>
      <c r="M26" s="27">
        <f>+M25/L25</f>
        <v>1.0775047975546208</v>
      </c>
    </row>
    <row r="27" spans="2:13" ht="12.75">
      <c r="B27" s="54"/>
      <c r="C27" s="68"/>
      <c r="E27" s="73"/>
      <c r="K27" s="13" t="s">
        <v>1</v>
      </c>
      <c r="L27" s="14"/>
      <c r="M27" s="15">
        <f>_XLL.TIR.NO.PER(K16:K24,J16:J24)</f>
        <v>0.08242995440959931</v>
      </c>
    </row>
    <row r="28" spans="2:8" ht="12.75">
      <c r="B28" s="54"/>
      <c r="C28" s="68"/>
      <c r="D28" s="54"/>
      <c r="E28" s="54"/>
      <c r="F28" s="54"/>
      <c r="G28" s="54"/>
      <c r="H28" s="54"/>
    </row>
    <row r="29" spans="2:10" ht="12.75">
      <c r="B29" s="20"/>
      <c r="C29" s="19"/>
      <c r="D29" s="19"/>
      <c r="E29" s="19"/>
      <c r="F29" s="19"/>
      <c r="G29" s="19"/>
      <c r="H29" s="19"/>
      <c r="J29" s="74"/>
    </row>
    <row r="30" ht="12.75">
      <c r="C30" s="75"/>
    </row>
    <row r="31" spans="3:10" ht="12.75">
      <c r="C31" s="75"/>
      <c r="J31" s="76"/>
    </row>
    <row r="32" ht="12.75">
      <c r="C32" s="75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 password="F658" sheet="1"/>
  <mergeCells count="11">
    <mergeCell ref="E6:E7"/>
    <mergeCell ref="L1:O1"/>
    <mergeCell ref="J14:M14"/>
    <mergeCell ref="B6:C6"/>
    <mergeCell ref="B7:C7"/>
    <mergeCell ref="B25:C25"/>
    <mergeCell ref="B8:C8"/>
    <mergeCell ref="B9:C9"/>
    <mergeCell ref="B10:C10"/>
    <mergeCell ref="B11:C11"/>
    <mergeCell ref="B12:C12"/>
  </mergeCells>
  <dataValidations count="1">
    <dataValidation type="list" allowBlank="1" showInputMessage="1" showErrorMessage="1" sqref="K2">
      <formula1>"CXC5V,CXC6V"</formula1>
    </dataValidation>
  </dataValidations>
  <printOptions/>
  <pageMargins left="0.75" right="0.75" top="1" bottom="1" header="0" footer="0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bfragola</dc:creator>
  <cp:keywords/>
  <dc:description/>
  <cp:lastModifiedBy>Ivan Petrini</cp:lastModifiedBy>
  <dcterms:created xsi:type="dcterms:W3CDTF">2010-03-10T17:09:27Z</dcterms:created>
  <dcterms:modified xsi:type="dcterms:W3CDTF">2018-12-14T14:54:39Z</dcterms:modified>
  <cp:category/>
  <cp:version/>
  <cp:contentType/>
  <cp:contentStatus/>
</cp:coreProperties>
</file>